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6" rupBuild="9303"/>
  <workbookPr codeName="ThisWorkbook"/>
  <bookViews>
    <workbookView xWindow="0" yWindow="0" windowWidth="19440" windowHeight="7755"/>
  </bookViews>
  <sheets>
    <sheet name="Results" sheetId="6" r:id="rId1"/>
    <sheet name="BCR Calcs" sheetId="11" r:id="rId2"/>
    <sheet name="Task and Assumptions" sheetId="7" r:id="rId3"/>
    <sheet name="Bus Patronage &amp; Revenue" sheetId="1" r:id="rId4"/>
    <sheet name="Vehicle Miles" sheetId="2" r:id="rId5"/>
    <sheet name="Decongestion Benefit" sheetId="9" r:id="rId6"/>
    <sheet name="Air Quality" sheetId="3" r:id="rId7"/>
    <sheet name="Reduced Wait Time - VoT" sheetId="5" r:id="rId8"/>
    <sheet name="Employment" sheetId="4" r:id="rId9"/>
  </sheets>
  <calcPr fullPrecision="1"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Nic Greaves</author>
  </authors>
  <commentList>
    <comment ref="A16" authorId="0">
      <text>
        <r>
          <t/>
        </r>
        <r>
          <rPr>
            <sz val="9"/>
            <color indexed="81"/>
            <rFont val="Tahoma"/>
            <family val="2"/>
            <charset val="0"/>
          </rPr>
          <t xml:space="preserve">
Up front costs expected to cover operation and maintenance costs for the first 5 years, as suggested by Chris H. The £50,000 annual value beyond that I have based on our previous discussions. I haven't applied any form of discount or inflation. </t>
        </r>
      </text>
    </comment>
  </commentList>
</comments>
</file>

<file path=xl/sharedStrings.xml><?xml version="1.0" encoding="utf-8"?>
<sst xmlns="http://schemas.openxmlformats.org/spreadsheetml/2006/main" uniqueCount="139" count="149">
  <si>
    <t>Derby City</t>
  </si>
  <si>
    <t>Derbyshire</t>
  </si>
  <si>
    <t>Nottingham City</t>
  </si>
  <si>
    <t>Nottinghamshire</t>
  </si>
  <si>
    <t>Bus Passenger Trips 14-15</t>
  </si>
  <si>
    <t>Assumption</t>
  </si>
  <si>
    <t>Assumptions</t>
  </si>
  <si>
    <t>Leicester Star Track</t>
  </si>
  <si>
    <t>London Underground</t>
  </si>
  <si>
    <t>Helsinki</t>
  </si>
  <si>
    <t>Brussels</t>
  </si>
  <si>
    <t>San Francisco</t>
  </si>
  <si>
    <t>Source: http://www.its.leeds.ac.uk/projects/konsult/private/level2/instruments/instrument047/l2_047c.htm</t>
  </si>
  <si>
    <t>Ottawa</t>
  </si>
  <si>
    <t>Average annual patronage increase</t>
  </si>
  <si>
    <t xml:space="preserve"> increase in bus passengers trips would have been car trips</t>
  </si>
  <si>
    <t xml:space="preserve">Increased bus trips attributable to RTPI </t>
  </si>
  <si>
    <t>Reduction in car trips</t>
  </si>
  <si>
    <t>Annual increase in bus patronage</t>
  </si>
  <si>
    <t>of existing passengers will benefit from RTPI</t>
  </si>
  <si>
    <t>Average bus journey length (miles)</t>
  </si>
  <si>
    <t>Reduction in car miles</t>
  </si>
  <si>
    <t>There are 5.16 billion passenger journeys and 18.1billion passenger miles travelled in GB in 14-15. Source: https://www.gov.uk/government/collections/bus-statistics; https://www.gov.uk/government/statistical-data-sets/bus03-passenger-distance-travelled</t>
  </si>
  <si>
    <t>Annual increase in bus operator revenue</t>
  </si>
  <si>
    <t>grams of CO2 per vehicle mile</t>
  </si>
  <si>
    <t>Source: http://www.carbonindependent.org/sources_car.html</t>
  </si>
  <si>
    <t>reduction in vehicle miles</t>
  </si>
  <si>
    <t>kg reduction in CO2</t>
  </si>
  <si>
    <t>Transport Authority</t>
  </si>
  <si>
    <t>grams/mile of hydrocarbons</t>
  </si>
  <si>
    <t>grams/mile of carbon monoxide</t>
  </si>
  <si>
    <t>grams/mile of NOX</t>
  </si>
  <si>
    <t>kg reduction in hydrocarbons</t>
  </si>
  <si>
    <t>kg reduction in carbon monoxide</t>
  </si>
  <si>
    <t>kg reduction in NOX</t>
  </si>
  <si>
    <t>Reduced wait times</t>
  </si>
  <si>
    <t>bus users who would benefit from the RTPI</t>
  </si>
  <si>
    <t>minutes saved</t>
  </si>
  <si>
    <t>hours saved</t>
  </si>
  <si>
    <t>Source: Webtag guidance: https://www.gov.uk/government/publications/webtag-tag-data-book</t>
  </si>
  <si>
    <t>percentage of trips made for business purposes</t>
  </si>
  <si>
    <t>Percentage of trips made commuting to work</t>
  </si>
  <si>
    <t>Percentage of trips made for leisure or other purposes</t>
  </si>
  <si>
    <t xml:space="preserve">per hour value of time for PSV passengers on business </t>
  </si>
  <si>
    <t>per hour value of time for PSV passengers commuting</t>
  </si>
  <si>
    <t>per hour value of time for PSV passengers for leisure or other trips</t>
  </si>
  <si>
    <t>Source: NTS: https://www.gov.uk/government/uploads/system/uploads/attachment_data/file/342160/nts2013-01.pdf</t>
  </si>
  <si>
    <t>Average fare paid per new commercial passenger trip</t>
  </si>
  <si>
    <t>average minutes  per bus user</t>
  </si>
  <si>
    <t>Proportion of bus journeys that are concessionary</t>
  </si>
  <si>
    <t>Source: https://www.gov.uk/government/collections/bus-statistics</t>
  </si>
  <si>
    <t>Annual increase in bus operator revenue, excluding concessionary reimbursement which has a net zero effect as TCAs would have to pay the operators</t>
  </si>
  <si>
    <t>of new bus passenger journeys were previously car trips</t>
  </si>
  <si>
    <t>unemployed people in D2N2 region</t>
  </si>
  <si>
    <t>Source: http://www.d2n2lep.org/write/Annual%20Conference/D2N2_State_of_the_Economy_summary_report_080715.pdf</t>
  </si>
  <si>
    <t xml:space="preserve">proportion of unemployed people who will have access to a RTPI screen </t>
  </si>
  <si>
    <t>average commercial fare per new bus passenger journey</t>
  </si>
  <si>
    <t>proportion of the above unemployed people who will have better access to employment and/or training</t>
  </si>
  <si>
    <t>proportion of the above unemployed people who will find employment as a result of having better access to public transport information</t>
  </si>
  <si>
    <t>https://www.gov.uk/government/statistical-data-sets/tra01-traffic-by-road-class-and-region-miles</t>
  </si>
  <si>
    <t xml:space="preserve">population of D2N2 area </t>
  </si>
  <si>
    <t>population of Great Britain</t>
  </si>
  <si>
    <r>
      <t>www.</t>
    </r>
    <r>
      <rPr>
        <sz val="6"/>
        <color theme="0" tint="-0.34998626667073579"/>
        <rFont val="Arial"/>
        <family val="2"/>
        <charset val="0"/>
      </rPr>
      <t>d2n2lep.org/write/audio/state_of_d2n2_economy_report.doc</t>
    </r>
  </si>
  <si>
    <t>http://www.ons.gov.uk/ons/guide-method/compendiums/compendium-of-uk-statistics/population-and-migration/index.html</t>
  </si>
  <si>
    <t>% of population in D2N2 area</t>
  </si>
  <si>
    <t>No of vehicle miles in the D2N2 area</t>
  </si>
  <si>
    <t>reduction in car miles in D2N2 area</t>
  </si>
  <si>
    <t>Reduction in annual car miles across the D2N2 area</t>
  </si>
  <si>
    <t>Percentage reduction in annual car miles across the D2N2 area</t>
  </si>
  <si>
    <t>Annual value of time saved due to reduced waiting times</t>
  </si>
  <si>
    <t>Reduction in annual CO2 emissions (tonnes)</t>
  </si>
  <si>
    <t>jobseekers who gained some form of employment following the jobseeker citycard initiative</t>
  </si>
  <si>
    <t>Jobs in East Midlands are full time</t>
  </si>
  <si>
    <t>Jobs in East Midlands are part time</t>
  </si>
  <si>
    <t>New full time employees</t>
  </si>
  <si>
    <t>New part time employees</t>
  </si>
  <si>
    <t>Source: http://www.ons.gov.uk/ons/publications/re-reference-tables.html?edition=tcm%3A77-226967</t>
  </si>
  <si>
    <t>District</t>
  </si>
  <si>
    <t>Full Time</t>
  </si>
  <si>
    <t>Part Time</t>
  </si>
  <si>
    <t>Rushcliffe</t>
  </si>
  <si>
    <t>Gedling</t>
  </si>
  <si>
    <t>N&amp;S</t>
  </si>
  <si>
    <t>Bassetlaw</t>
  </si>
  <si>
    <t>Bolsover</t>
  </si>
  <si>
    <t>NE Derbyshire</t>
  </si>
  <si>
    <t>High Peak</t>
  </si>
  <si>
    <t>D'shire Dales</t>
  </si>
  <si>
    <t>Amber Valley</t>
  </si>
  <si>
    <t>Broxtowe</t>
  </si>
  <si>
    <t>Ashfield</t>
  </si>
  <si>
    <t>Mansfield</t>
  </si>
  <si>
    <t>Nottingham</t>
  </si>
  <si>
    <t>Derby</t>
  </si>
  <si>
    <t>Average Earnings</t>
  </si>
  <si>
    <t>Weekly Earnings</t>
  </si>
  <si>
    <t>Source: http://www.neighbourhood.statistics.gov.uk/HTMLDocs/dvc126/index.html</t>
  </si>
  <si>
    <t>Increased income FT employees</t>
  </si>
  <si>
    <t>Increased income PT employees</t>
  </si>
  <si>
    <t>Aggregate annual increased income in D2N2 area</t>
  </si>
  <si>
    <t>vehicle miles in Great Britain in 2014</t>
  </si>
  <si>
    <t>minutes  per bus user in Tampa</t>
  </si>
  <si>
    <t>minutes  per bus user in Dublin</t>
  </si>
  <si>
    <t>Source: http://www.irishplanninginstitute.ie/sites/default/files/thesis_bryan_sweeney.pdf</t>
  </si>
  <si>
    <t>Source: http://www.citylab.com/commute/2014/08/3-big-time-benefits-of-real-time-transit-data/376094/</t>
  </si>
  <si>
    <t>Nottingham City, Nottinghamshire, Derby City and Derbyshire Councils are applying for funding for Making Bus Travel Smarter – Real Time Information Regional Roll Out</t>
  </si>
  <si>
    <t>The aim of this process is to appraise what the economic impacts of the project will be in order to bolster the economic case within the LEP funding bid</t>
  </si>
  <si>
    <t>In order to assess the economic impacts, a series of assumptions have been made - presented below</t>
  </si>
  <si>
    <t>Patronage Impacts of RTPI Based on Case Studies</t>
  </si>
  <si>
    <t>Reduction in annual hydrocarbon emissions (tonnes)</t>
  </si>
  <si>
    <t>Reduction in annual carbon monoxide emissions (tonnes)</t>
  </si>
  <si>
    <t>Reduction in annual NOX emissions (tonnes)</t>
  </si>
  <si>
    <t>Source: https://www.gov.uk/government/statistical-data-sets/bus01-local-bus-passenger-journeys</t>
  </si>
  <si>
    <t>This helps to justify the creation of more jobs within bus operations as well as more widely across the region</t>
  </si>
  <si>
    <t>https://www.gov.uk/government/publications/webtag-tag-data-book-may-2014</t>
  </si>
  <si>
    <t>Source: https://www.gov.uk/government/publications/webtag-tag-data-book-may-2014</t>
  </si>
  <si>
    <t>per tonne of CO2 Saved</t>
  </si>
  <si>
    <t>Congestion</t>
  </si>
  <si>
    <t>£ per vehicle km saved</t>
  </si>
  <si>
    <t>Veh km saved</t>
  </si>
  <si>
    <t>Decongestion benefit</t>
  </si>
  <si>
    <t>Reduction in annual CO2 emissions - economic value</t>
  </si>
  <si>
    <t xml:space="preserve"> Increased employment across D2N2 area</t>
  </si>
  <si>
    <t>Average car occupancy per trip</t>
  </si>
  <si>
    <t>BCR Estimate</t>
  </si>
  <si>
    <t>Implementation Costs</t>
  </si>
  <si>
    <t>Economic Benefit</t>
  </si>
  <si>
    <t>Decongestion Benefit</t>
  </si>
  <si>
    <t>Journey Time Savings</t>
  </si>
  <si>
    <t>CO2 Emissions</t>
  </si>
  <si>
    <t>Benefits</t>
  </si>
  <si>
    <t>Costs</t>
  </si>
  <si>
    <t>Operational and Maintenance Costs</t>
  </si>
  <si>
    <t>Appraisal Period Operation and Maintenance Costs</t>
  </si>
  <si>
    <t>Pax Benefitting</t>
  </si>
  <si>
    <t xml:space="preserve">Year </t>
  </si>
  <si>
    <t>currently unemployed people will obtain access to employment</t>
  </si>
  <si>
    <t xml:space="preserve">Results Summary </t>
  </si>
  <si>
    <t xml:space="preserve">Appendix 1 - Analysis of benefits of RTI project 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</si>
</sst>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&quot;£&quot;* #,##0.0000_-;\-&quot;£&quot;* #,##0.0000_-;_-&quot;£&quot;* &quot;-&quot;????_-;_-@_-"/>
    <numFmt numFmtId="166" formatCode="#,##0.00_ ;\-#,##0.00\ "/>
  </numFmts>
  <fonts count="19"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1"/>
      <color rgb="FFFF0000"/>
      <name val="Calibri"/>
      <family val="2"/>
      <charset val="0"/>
      <scheme val="minor"/>
    </font>
    <font>
      <sz val="9"/>
      <color theme="1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sz val="16"/>
      <color theme="1"/>
      <name val="Calibri"/>
      <family val="2"/>
      <charset val="0"/>
      <scheme val="minor"/>
    </font>
    <font>
      <sz val="6"/>
      <color theme="0" tint="-0.249977111117893"/>
      <name val="Calibri"/>
      <family val="2"/>
      <charset val="0"/>
      <scheme val="minor"/>
    </font>
    <font>
      <b/>
      <sz val="12"/>
      <color rgb="FFFF0000"/>
      <name val="Calibri"/>
      <family val="2"/>
      <charset val="0"/>
      <scheme val="minor"/>
    </font>
    <font>
      <sz val="12"/>
      <color theme="1"/>
      <name val="Calibri"/>
      <family val="2"/>
      <charset val="0"/>
      <scheme val="minor"/>
    </font>
    <font>
      <sz val="8"/>
      <color theme="0" tint="-0.34998626667073579"/>
      <name val="Calibri"/>
      <family val="2"/>
      <charset val="0"/>
      <scheme val="minor"/>
    </font>
    <font>
      <sz val="9"/>
      <color theme="0" tint="-0.34998626667073579"/>
      <name val="Calibri"/>
      <family val="2"/>
      <charset val="0"/>
      <scheme val="minor"/>
    </font>
    <font>
      <b/>
      <sz val="16"/>
      <name val="Calibri"/>
      <family val="2"/>
      <charset val="0"/>
      <scheme val="minor"/>
    </font>
    <font>
      <sz val="6"/>
      <color theme="0" tint="-0.34998626667073579"/>
      <name val="Calibri"/>
      <family val="2"/>
      <charset val="0"/>
      <scheme val="minor"/>
    </font>
    <font>
      <sz val="6"/>
      <color theme="0" tint="-0.34998626667073579"/>
      <name val="Arial"/>
      <family val="2"/>
      <charset val="0"/>
    </font>
    <font>
      <sz val="10"/>
      <color theme="0" tint="-0.34998626667073579"/>
      <name val="Calibri"/>
      <family val="2"/>
      <charset val="0"/>
      <scheme val="minor"/>
    </font>
    <font>
      <sz val="9"/>
      <color indexed="81"/>
      <name val="Tahoma"/>
      <family val="2"/>
      <charset val="0"/>
    </font>
    <font>
      <b/>
      <u val="single"/>
      <sz val="20"/>
      <color theme="1"/>
      <name val="Calibri"/>
      <family val="2"/>
      <charset val="0"/>
      <scheme val="minor"/>
    </font>
    <font>
      <u val="single"/>
      <sz val="11"/>
      <color indexed="8"/>
      <name val="Calibri"/>
      <family val="2"/>
      <charset val="0"/>
    </font>
    <font>
      <u val="single"/>
      <sz val="11"/>
      <color rgb="000563C1"/>
      <name val="Calibri"/>
      <family val="2"/>
      <charset val="0"/>
    </font>
  </fonts>
  <fills count="4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0">
    <xf numFmtId="0" fontId="0" fillId="0" borderId="0"/>
    <xf numFmtId="0" fontId="18" fillId="0" borderId="0" applyAlignment="0" applyBorder="0" applyNumberFormat="0" applyFill="0" applyProtection="0"/>
  </cellStyleXfs>
  <cellXfs>
    <xf numFmtId="0" fontId="0" fillId="0" borderId="0" xfId="0"/>
    <xf numFmtId="9" fontId="0" fillId="2" borderId="0" xfId="0" applyNumberFormat="1" applyFill="1"/>
    <xf numFmtId="164" fontId="0" fillId="2" borderId="0" xfId="0" applyNumberFormat="1" applyFill="1"/>
    <xf numFmtId="0" fontId="0" fillId="3" borderId="0" xfId="0" applyFill="1"/>
    <xf numFmtId="0" fontId="0" fillId="3" borderId="0" xfId="0" applyAlignment="1" applyFill="1">
      <alignment horizontal="center"/>
    </xf>
    <xf numFmtId="3" fontId="0" fillId="3" borderId="0" xfId="0" applyAlignment="1" applyNumberFormat="1" applyFill="1">
      <alignment horizontal="center"/>
    </xf>
    <xf numFmtId="3" fontId="1" fillId="3" borderId="0" xfId="0" applyAlignment="1" applyFont="1" applyNumberFormat="1" applyFill="1">
      <alignment horizontal="center"/>
    </xf>
    <xf numFmtId="0" fontId="0" fillId="3" borderId="1" xfId="0" applyBorder="1" applyFill="1"/>
    <xf numFmtId="0" fontId="0" fillId="3" borderId="2" xfId="0" applyBorder="1" applyFill="1"/>
    <xf numFmtId="0" fontId="7" fillId="3" borderId="1" xfId="0" applyBorder="1" applyFont="1" applyFill="1"/>
    <xf numFmtId="3" fontId="7" fillId="3" borderId="2" xfId="0" applyBorder="1" applyFont="1" applyNumberFormat="1" applyFill="1"/>
    <xf numFmtId="0" fontId="8" fillId="3" borderId="1" xfId="0" applyBorder="1" applyFont="1" applyFill="1"/>
    <xf numFmtId="0" fontId="8" fillId="3" borderId="2" xfId="0" applyBorder="1" applyFont="1" applyFill="1"/>
    <xf numFmtId="8" fontId="7" fillId="3" borderId="2" xfId="0" applyBorder="1" applyFont="1" applyNumberFormat="1" applyFill="1"/>
    <xf numFmtId="0" fontId="7" fillId="3" borderId="0" xfId="0" applyBorder="1" applyFont="1" applyFill="1"/>
    <xf numFmtId="3" fontId="7" fillId="3" borderId="0" xfId="0" applyBorder="1" applyFont="1" applyNumberFormat="1" applyFill="1"/>
    <xf numFmtId="0" fontId="7" fillId="3" borderId="3" xfId="0" applyBorder="1" applyFont="1" applyFill="1"/>
    <xf numFmtId="10" fontId="7" fillId="3" borderId="2" xfId="0" applyBorder="1" applyFont="1" applyNumberFormat="1" applyFill="1"/>
    <xf numFmtId="4" fontId="7" fillId="3" borderId="2" xfId="0" applyBorder="1" applyFont="1" applyNumberFormat="1" applyFill="1"/>
    <xf numFmtId="9" fontId="0" fillId="3" borderId="0" xfId="0" applyAlignment="1" applyNumberFormat="1" applyFill="1">
      <alignment horizontal="center"/>
    </xf>
    <xf numFmtId="10" fontId="0" fillId="3" borderId="0" xfId="0" applyAlignment="1" applyNumberFormat="1" applyFill="1">
      <alignment horizontal="center"/>
    </xf>
    <xf numFmtId="3" fontId="0" fillId="3" borderId="0" xfId="0" applyNumberFormat="1" applyFill="1"/>
    <xf numFmtId="0" fontId="2" fillId="3" borderId="0" xfId="0" applyAlignment="1" applyFont="1" applyFill="1">
      <alignment horizontal="center"/>
    </xf>
    <xf numFmtId="3" fontId="1" fillId="3" borderId="0" xfId="0" applyFont="1" applyNumberFormat="1" applyFill="1"/>
    <xf numFmtId="3" fontId="2" fillId="3" borderId="0" xfId="0" applyAlignment="1" applyFont="1" applyNumberFormat="1" applyFill="1">
      <alignment horizontal="center"/>
    </xf>
    <xf numFmtId="0" fontId="3" fillId="3" borderId="0" xfId="0" applyFont="1" applyFill="1"/>
    <xf numFmtId="8" fontId="0" fillId="3" borderId="0" xfId="0" applyNumberFormat="1" applyFill="1"/>
    <xf numFmtId="10" fontId="0" fillId="3" borderId="0" xfId="0" applyNumberFormat="1" applyFill="1"/>
    <xf numFmtId="0" fontId="1" fillId="3" borderId="0" xfId="0" applyFont="1" applyFill="1"/>
    <xf numFmtId="9" fontId="0" fillId="3" borderId="0" xfId="0" applyNumberFormat="1" applyFill="1"/>
    <xf numFmtId="0" fontId="6" fillId="3" borderId="0" xfId="0" applyFont="1" applyFill="1"/>
    <xf numFmtId="0" fontId="12" fillId="3" borderId="0" xfId="0" applyFont="1" applyFill="1"/>
    <xf numFmtId="1" fontId="0" fillId="3" borderId="0" xfId="0" applyNumberFormat="1" applyFill="1"/>
    <xf numFmtId="0" fontId="9" fillId="3" borderId="0" xfId="0" applyFont="1" applyFill="1"/>
    <xf numFmtId="8" fontId="1" fillId="3" borderId="0" xfId="0" applyFont="1" applyNumberFormat="1" applyFill="1"/>
    <xf numFmtId="0" fontId="10" fillId="3" borderId="0" xfId="0" applyFont="1" applyFill="1"/>
    <xf numFmtId="0" fontId="0" fillId="3" borderId="4" xfId="0" applyAlignment="1" applyBorder="1" applyFill="1">
      <alignment horizontal="center"/>
    </xf>
    <xf numFmtId="0" fontId="0" fillId="3" borderId="4" xfId="0" applyBorder="1" applyFill="1"/>
    <xf numFmtId="44" fontId="0" fillId="3" borderId="4" xfId="0" applyBorder="1" applyNumberFormat="1" applyFill="1"/>
    <xf numFmtId="44" fontId="0" fillId="3" borderId="0" xfId="0" applyNumberFormat="1" applyFill="1"/>
    <xf numFmtId="44" fontId="1" fillId="3" borderId="0" xfId="0" applyFont="1" applyNumberFormat="1" applyFill="1"/>
    <xf numFmtId="0" fontId="1" fillId="3" borderId="4" xfId="0" applyBorder="1" applyFont="1" applyFill="1"/>
    <xf numFmtId="44" fontId="1" fillId="3" borderId="4" xfId="0" applyBorder="1" applyFont="1" applyNumberFormat="1" applyFill="1"/>
    <xf numFmtId="0" fontId="1" fillId="3" borderId="0" xfId="0" applyAlignment="1" applyFont="1" applyFill="1">
      <alignment horizontal="right"/>
    </xf>
    <xf numFmtId="9" fontId="0" fillId="3" borderId="0" xfId="0" applyAlignment="1" applyNumberFormat="1" applyFill="1">
      <alignment horizontal="right"/>
    </xf>
    <xf numFmtId="3" fontId="0" fillId="3" borderId="0" xfId="0" applyAlignment="1" applyNumberFormat="1" applyFill="1">
      <alignment horizontal="right"/>
    </xf>
    <xf numFmtId="0" fontId="0" fillId="3" borderId="0" xfId="0" applyAlignment="1" applyFill="1">
      <alignment horizontal="right"/>
    </xf>
    <xf numFmtId="10" fontId="0" fillId="3" borderId="0" xfId="0" applyAlignment="1" applyNumberFormat="1" applyFill="1">
      <alignment horizontal="right"/>
    </xf>
    <xf numFmtId="4" fontId="7" fillId="3" borderId="5" xfId="0" applyBorder="1" applyFont="1" applyNumberFormat="1" applyFill="1"/>
    <xf numFmtId="0" fontId="14" fillId="3" borderId="0" xfId="0" applyFont="1" applyFill="1"/>
    <xf numFmtId="44" fontId="0" fillId="0" borderId="0" xfId="0" applyNumberFormat="1"/>
    <xf numFmtId="44" fontId="7" fillId="3" borderId="2" xfId="0" applyBorder="1" applyFont="1" applyNumberFormat="1" applyFill="1"/>
    <xf numFmtId="165" fontId="0" fillId="3" borderId="0" xfId="0" applyNumberFormat="1" applyFill="1"/>
    <xf numFmtId="0" fontId="7" fillId="3" borderId="1" xfId="0" applyAlignment="1" applyBorder="1" applyFont="1" applyFill="1">
      <alignment horizontal="right"/>
    </xf>
    <xf numFmtId="44" fontId="7" fillId="3" borderId="2" xfId="0" applyAlignment="1" applyBorder="1" applyFont="1" applyNumberFormat="1" applyFill="1">
      <alignment horizontal="right"/>
    </xf>
    <xf numFmtId="0" fontId="0" fillId="0" borderId="0" xfId="0" applyAlignment="1">
      <alignment horizontal="center"/>
    </xf>
    <xf numFmtId="8" fontId="0" fillId="0" borderId="0" xfId="0" applyNumberFormat="1"/>
    <xf numFmtId="8" fontId="1" fillId="0" borderId="0" xfId="0" applyFont="1" applyNumberFormat="1"/>
    <xf numFmtId="44" fontId="1" fillId="0" borderId="0" xfId="0" applyFont="1" applyNumberFormat="1"/>
    <xf numFmtId="164" fontId="0" fillId="0" borderId="0" xfId="0" applyNumberFormat="1"/>
    <xf numFmtId="164" fontId="1" fillId="0" borderId="0" xfId="0" applyFont="1" applyNumberFormat="1"/>
    <xf numFmtId="166" fontId="7" fillId="3" borderId="2" xfId="0" applyAlignment="1" applyBorder="1" applyFont="1" applyNumberFormat="1" applyFill="1">
      <alignment horizontal="center"/>
    </xf>
    <xf numFmtId="8" fontId="7" fillId="3" borderId="2" xfId="0" applyAlignment="1" applyBorder="1" applyFont="1" applyNumberFormat="1" applyFill="1">
      <alignment horizontal="right"/>
    </xf>
    <xf numFmtId="0" fontId="0" fillId="0" borderId="0" xfId="0" applyAlignment="1">
      <alignment horizontal="right"/>
    </xf>
    <xf numFmtId="0" fontId="11" fillId="3" borderId="6" xfId="0" applyAlignment="1" applyBorder="1" applyFont="1" applyFill="1">
      <alignment horizontal="center" vertical="center"/>
    </xf>
    <xf numFmtId="0" fontId="5" fillId="3" borderId="7" xfId="0" applyAlignment="1" applyBorder="1" applyFont="1" applyFill="1">
      <alignment horizontal="center" vertical="center"/>
    </xf>
    <xf numFmtId="164" fontId="0" fillId="0" borderId="0" xfId="0" applyAlignment="1" applyNumberFormat="1">
      <alignment horizontal="center"/>
    </xf>
    <xf numFmtId="0" fontId="16" fillId="3" borderId="0" xfId="0" applyFont="1" applyFill="1"/>
  </cellXfs>
  <cellStyles count="2">
    <cellStyle name="Normal" xfId="0" builtinId="0"/>
    <cellStyle name="Hyperlink" xfId="1" builtinId="8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Relationship Id="rId8" Type="http://schemas.openxmlformats.org/officeDocument/2006/relationships/worksheet" Target="worksheets/sheet8.xml" /><Relationship Id="rId4" Type="http://schemas.openxmlformats.org/officeDocument/2006/relationships/worksheet" Target="worksheets/sheet4.xml" /><Relationship Id="rId12" Type="http://schemas.openxmlformats.org/officeDocument/2006/relationships/sharedStrings" Target="sharedStrings.xml" /><Relationship Id="rId9" Type="http://schemas.openxmlformats.org/officeDocument/2006/relationships/worksheet" Target="worksheets/sheet9.xml" /><Relationship Id="rId5" Type="http://schemas.openxmlformats.org/officeDocument/2006/relationships/worksheet" Target="worksheets/sheet5.xml" /><Relationship Id="rId11" Type="http://schemas.openxmlformats.org/officeDocument/2006/relationships/styles" Target="styles.xml" /><Relationship Id="rId6" Type="http://schemas.openxmlformats.org/officeDocument/2006/relationships/worksheet" Target="worksheets/sheet6.xml" /><Relationship Id="rId10" Type="http://schemas.openxmlformats.org/officeDocument/2006/relationships/theme" Target="theme/theme1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comments" Target="/xl/comments1.xml" /><Relationship Id="rId1" Type="http://schemas.openxmlformats.org/officeDocument/2006/relationships/vmlDrawing" Target="/xl/drawings/vmlDrawing1.v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hyperlink" Target="http://www.citylab.com/commute/2014/08/3-big-time-benefits-of-real-time-transit-data/376094/" TargetMode="External" /><Relationship Id="rId2" Type="http://schemas.openxmlformats.org/officeDocument/2006/relationships/hyperlink" Target="http://www.irishplanninginstitute.ie/sites/default/files/thesis_bryan_sweeney.pdf" TargetMode="Externa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C31"/>
  <sheetViews>
    <sheetView zoomScale="80" view="normal" tabSelected="1" workbookViewId="0">
      <selection pane="topLeft" activeCell="A1" sqref="A1"/>
    </sheetView>
  </sheetViews>
  <sheetFormatPr defaultRowHeight="15"/>
  <cols>
    <col min="1" max="1" width="59.84765625" style="3" customWidth="1"/>
    <col min="2" max="2" width="21.5703125" style="3" bestFit="1" customWidth="1"/>
    <col min="3" max="3" width="6" style="3" bestFit="1" customWidth="1"/>
    <col min="4" max="16384" width="9.140625" style="3" customWidth="1"/>
  </cols>
  <sheetData>
    <row r="1" spans="1:1" ht="55.5" customHeight="1" thickBot="1">
      <c r="A1" s="67" t="s">
        <v>138</v>
      </c>
    </row>
    <row r="2" spans="1:2" ht="21">
      <c r="A2" s="64" t="s">
        <v>137</v>
      </c>
      <c r="B2" s="65"/>
    </row>
    <row r="3" spans="1:2" ht="15.75">
      <c r="A3" s="53" t="s">
        <v>124</v>
      </c>
      <c r="B3" s="61">
        <f>'BCR Calcs'!L10/'BCR Calcs'!L17</f>
        <v>4.2379428404839858</v>
      </c>
    </row>
    <row r="4" spans="1:2" ht="15.75">
      <c r="A4" s="53" t="s">
        <v>125</v>
      </c>
      <c r="B4" s="54">
        <f>'BCR Calcs'!B15:F15</f>
        <v>10630000</v>
      </c>
    </row>
    <row r="5" spans="1:2" ht="15.75">
      <c r="A5" s="53" t="s">
        <v>133</v>
      </c>
      <c r="B5" s="54">
        <f>'BCR Calcs'!L16</f>
        <v>250000</v>
      </c>
    </row>
    <row r="6" spans="1:2" ht="15.75">
      <c r="A6" s="53" t="s">
        <v>126</v>
      </c>
      <c r="B6" s="62">
        <f>'BCR Calcs'!L10</f>
        <v>46108818.104465768</v>
      </c>
    </row>
    <row r="7" spans="1:2" ht="15.75">
      <c r="A7" s="9"/>
      <c r="B7" s="8"/>
    </row>
    <row r="8" spans="1:2" ht="15.75">
      <c r="A8" s="9" t="s">
        <v>18</v>
      </c>
      <c r="B8" s="10">
        <f>'Bus Patronage &amp; Revenue'!J9</f>
        <v>1049646.4</v>
      </c>
    </row>
    <row r="9" spans="1:2" ht="15.75">
      <c r="A9" s="11"/>
      <c r="B9" s="12"/>
    </row>
    <row r="10" spans="1:2" ht="15.75">
      <c r="A10" s="9" t="s">
        <v>23</v>
      </c>
      <c r="B10" s="13">
        <f>'Bus Patronage &amp; Revenue'!B18</f>
        <v>1480526.2471999999</v>
      </c>
    </row>
    <row r="11" spans="1:2" ht="15.75">
      <c r="A11" s="9"/>
      <c r="B11" s="13"/>
    </row>
    <row r="12" spans="1:2" ht="15.75">
      <c r="A12" s="9" t="s">
        <v>69</v>
      </c>
      <c r="B12" s="13">
        <f>'Reduced Wait Time - VoT'!A21</f>
        <v>5377591.5840000007</v>
      </c>
    </row>
    <row r="13" spans="1:2" ht="15.75">
      <c r="A13" s="9"/>
      <c r="B13" s="13"/>
    </row>
    <row r="14" spans="1:2" ht="15.75">
      <c r="A14" s="9" t="s">
        <v>122</v>
      </c>
      <c r="B14" s="10">
        <f>Employment!A6</f>
        <v>211.764</v>
      </c>
    </row>
    <row r="15" spans="1:2" ht="15.75">
      <c r="A15" s="9" t="s">
        <v>99</v>
      </c>
      <c r="B15" s="13">
        <f>Employment!A18</f>
        <v>4408608.2289600009</v>
      </c>
    </row>
    <row r="16" spans="1:2" ht="15.75">
      <c r="A16" s="11"/>
      <c r="B16" s="12"/>
    </row>
    <row r="17" spans="1:2" ht="15.75">
      <c r="A17" s="9" t="s">
        <v>67</v>
      </c>
      <c r="B17" s="10">
        <f>'Vehicle Miles'!A13</f>
        <v>564587.411779141</v>
      </c>
    </row>
    <row r="18" spans="1:2" ht="15.75">
      <c r="A18" s="9" t="s">
        <v>68</v>
      </c>
      <c r="B18" s="17">
        <f>'Vehicle Miles'!A21</f>
        <v>0.000554305519996369</v>
      </c>
    </row>
    <row r="19" spans="1:2" ht="15.75">
      <c r="A19" s="9" t="s">
        <v>120</v>
      </c>
      <c r="B19" s="51">
        <f>'Decongestion Benefit'!C6</f>
        <v>152590.22508191326</v>
      </c>
    </row>
    <row r="20" spans="1:2">
      <c r="A20" s="7"/>
      <c r="B20" s="8"/>
    </row>
    <row r="21" spans="1:2" ht="15.75">
      <c r="A21" s="9" t="s">
        <v>70</v>
      </c>
      <c r="B21" s="18">
        <f>('Air Quality'!A14)/1000</f>
        <v>242.77258706503068</v>
      </c>
    </row>
    <row r="22" spans="1:2" ht="15.75">
      <c r="A22" s="9" t="s">
        <v>121</v>
      </c>
      <c r="B22" s="13">
        <f>B21*'Air Quality'!A19</f>
        <v>14005.550547781619</v>
      </c>
    </row>
    <row r="23" spans="1:2" ht="15.75">
      <c r="A23" s="9" t="s">
        <v>109</v>
      </c>
      <c r="B23" s="18">
        <f>'Air Quality'!A15/1000</f>
        <v>1.5808447529815948</v>
      </c>
    </row>
    <row r="24" spans="1:2" ht="15.75">
      <c r="A24" s="9" t="s">
        <v>110</v>
      </c>
      <c r="B24" s="18">
        <f>'Air Quality'!A16/1000</f>
        <v>11.799876906184046</v>
      </c>
    </row>
    <row r="25" spans="1:2" ht="16.5" thickBot="1">
      <c r="A25" s="16" t="s">
        <v>111</v>
      </c>
      <c r="B25" s="48">
        <f>'Air Quality'!A17/1000</f>
        <v>0.784776502373006</v>
      </c>
    </row>
    <row r="26" spans="1:2" ht="15.75">
      <c r="A26" s="14"/>
      <c r="B26" s="15"/>
    </row>
    <row r="27" spans="1:2" ht="15.75">
      <c r="A27" s="14"/>
      <c r="B27" s="15"/>
    </row>
    <row r="28" spans="1:2" ht="15.75">
      <c r="A28" s="14"/>
      <c r="B28" s="15"/>
    </row>
    <row r="29" spans="1:2" ht="15.75">
      <c r="A29" s="14"/>
      <c r="B29" s="15"/>
    </row>
    <row r="30" spans="1:2" ht="15.75">
      <c r="A30" s="14"/>
      <c r="B30" s="15"/>
    </row>
    <row r="31" spans="1:2" ht="15.75">
      <c r="A31" s="14"/>
      <c r="B31" s="15"/>
    </row>
  </sheetData>
  <mergeCells count="1">
    <mergeCell ref="A2:B2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3:L21"/>
  <sheetViews>
    <sheetView zoomScale="80" view="normal" workbookViewId="0">
      <selection pane="topLeft" activeCell="C30" sqref="C30"/>
    </sheetView>
  </sheetViews>
  <sheetFormatPr defaultRowHeight="15"/>
  <cols>
    <col min="1" max="1" width="37.41796875" bestFit="1" customWidth="1"/>
    <col min="2" max="11" width="13.5703125" bestFit="1" customWidth="1"/>
    <col min="12" max="12" width="15.140625" bestFit="1" customWidth="1"/>
  </cols>
  <sheetData>
    <row r="3" spans="1:11">
      <c r="A3" s="63" t="s">
        <v>135</v>
      </c>
      <c r="B3" s="55">
        <v>1</v>
      </c>
      <c r="C3" s="55">
        <v>2</v>
      </c>
      <c r="D3" s="55">
        <v>3</v>
      </c>
      <c r="E3" s="55">
        <v>4</v>
      </c>
      <c r="F3" s="55">
        <v>5</v>
      </c>
      <c r="G3" s="55">
        <v>6</v>
      </c>
      <c r="H3" s="55">
        <v>7</v>
      </c>
      <c r="I3" s="55">
        <v>8</v>
      </c>
      <c r="J3" s="55">
        <v>9</v>
      </c>
      <c r="K3" s="55">
        <v>10</v>
      </c>
    </row>
    <row r="4" spans="2:11">
      <c r="B4" s="55">
        <v>0.96618357487922713</v>
      </c>
      <c r="C4" s="55">
        <v>0.933510700366403</v>
      </c>
      <c r="D4" s="55">
        <v>0.90194270566802237</v>
      </c>
      <c r="E4" s="55">
        <v>0.87144222769857238</v>
      </c>
      <c r="F4" s="55">
        <v>0.84197316685852419</v>
      </c>
      <c r="G4" s="55">
        <v>0.81350064430775282</v>
      </c>
      <c r="H4" s="55">
        <v>0.78599096068381913</v>
      </c>
      <c r="I4" s="55">
        <v>0.75941155621625056</v>
      </c>
      <c r="J4" s="55">
        <v>0.73373097218961414</v>
      </c>
      <c r="K4" s="55">
        <v>0.70891881370977217</v>
      </c>
    </row>
    <row r="5" spans="2:11">
      <c r="B5" s="55"/>
      <c r="C5" s="55"/>
      <c r="D5" s="55"/>
      <c r="E5" s="55"/>
      <c r="F5" s="55"/>
      <c r="G5" s="55"/>
      <c r="H5" s="55"/>
      <c r="I5" s="55"/>
      <c r="J5" s="55"/>
      <c r="K5" s="55"/>
    </row>
    <row r="6" spans="1:11">
      <c r="A6" t="s">
        <v>130</v>
      </c>
      <c r="B6" s="55">
        <v>2017</v>
      </c>
      <c r="C6" s="55">
        <v>2018</v>
      </c>
      <c r="D6" s="55">
        <v>2019</v>
      </c>
      <c r="E6" s="55">
        <v>2020</v>
      </c>
      <c r="F6" s="55">
        <v>2021</v>
      </c>
      <c r="G6" s="55">
        <v>2022</v>
      </c>
      <c r="H6" s="55">
        <v>2023</v>
      </c>
      <c r="I6" s="55">
        <v>2024</v>
      </c>
      <c r="J6" s="55">
        <v>2025</v>
      </c>
      <c r="K6" s="55">
        <v>2026</v>
      </c>
    </row>
    <row r="7" spans="1:12">
      <c r="A7" t="s">
        <v>128</v>
      </c>
      <c r="B7" s="56">
        <f>Results!$B$12*'BCR Calcs'!B4</f>
        <v>5195740.6608695667</v>
      </c>
      <c r="C7" s="56">
        <f>Results!$B$12*'BCR Calcs'!C4</f>
        <v>5020039.285864315</v>
      </c>
      <c r="D7" s="56">
        <f>Results!$B$12*'BCR Calcs'!D4</f>
        <v>4850279.5032505468</v>
      </c>
      <c r="E7" s="56">
        <f>Results!$B$12*'BCR Calcs'!E4</f>
        <v>4686260.3896140549</v>
      </c>
      <c r="F7" s="56">
        <f>Results!$B$12*'BCR Calcs'!F4</f>
        <v>4527787.8160522282</v>
      </c>
      <c r="G7" s="56">
        <f>Results!$B$12*'BCR Calcs'!G4</f>
        <v>4374674.2184079494</v>
      </c>
      <c r="H7" s="56">
        <f>Results!$B$12*'BCR Calcs'!H4</f>
        <v>4226738.3752733814</v>
      </c>
      <c r="I7" s="56">
        <f>Results!$B$12*'BCR Calcs'!I4</f>
        <v>4083805.1935008527</v>
      </c>
      <c r="J7" s="56">
        <f>Results!$B$12*'BCR Calcs'!J4</f>
        <v>3945705.5009670076</v>
      </c>
      <c r="K7" s="56">
        <f>Results!$B$12*'BCR Calcs'!K4</f>
        <v>3812275.8463449352</v>
      </c>
      <c r="L7" s="57">
        <f>SUM(B7:K7)</f>
        <v>44723306.790144838</v>
      </c>
    </row>
    <row r="8" spans="1:12">
      <c r="A8" t="s">
        <v>127</v>
      </c>
      <c r="B8" s="50">
        <f>Results!$B$19*'BCR Calcs'!B4</f>
        <v>147430.16916126886</v>
      </c>
      <c r="C8" s="50">
        <f>Results!$B$19*'BCR Calcs'!C4</f>
        <v>142444.60788528394</v>
      </c>
      <c r="D8" s="50">
        <f>Results!$B$19*'BCR Calcs'!D4</f>
        <v>137627.64046887337</v>
      </c>
      <c r="E8" s="50">
        <f>Results!$B$19*'BCR Calcs'!E4</f>
        <v>132973.56567040907</v>
      </c>
      <c r="F8" s="50">
        <f>Results!$B$19*'BCR Calcs'!F4</f>
        <v>128476.87504387352</v>
      </c>
      <c r="G8" s="50">
        <f>Results!$B$19*'BCR Calcs'!G4</f>
        <v>124132.24641920146</v>
      </c>
      <c r="H8" s="50">
        <f>Results!$B$19*'BCR Calcs'!H4</f>
        <v>119934.53760309319</v>
      </c>
      <c r="I8" s="50">
        <f>Results!$B$19*'BCR Calcs'!I4</f>
        <v>115878.7802928437</v>
      </c>
      <c r="J8" s="50">
        <f>Results!$B$19*'BCR Calcs'!J4</f>
        <v>111960.17419598426</v>
      </c>
      <c r="K8" s="50">
        <f>Results!$B$19*'BCR Calcs'!K4</f>
        <v>108174.08134877706</v>
      </c>
      <c r="L8" s="58">
        <f>SUM(B8:K8)</f>
        <v>1269032.6780896087</v>
      </c>
    </row>
    <row r="9" spans="1:12">
      <c r="A9" t="s">
        <v>129</v>
      </c>
      <c r="B9" s="56">
        <f>Results!$B$22*'BCR Calcs'!B4</f>
        <v>13531.932896407363</v>
      </c>
      <c r="C9" s="56">
        <f>Results!$B$22*'BCR Calcs'!C4</f>
        <v>13074.331300876678</v>
      </c>
      <c r="D9" s="56">
        <f>Results!$B$22*'BCR Calcs'!D4</f>
        <v>12632.204155436406</v>
      </c>
      <c r="E9" s="56">
        <f>Results!$B$22*'BCR Calcs'!E4</f>
        <v>12205.028169503774</v>
      </c>
      <c r="F9" s="56">
        <f>Results!$B$22*'BCR Calcs'!F4</f>
        <v>11792.297748312827</v>
      </c>
      <c r="G9" s="56">
        <f>Results!$B$22*'BCR Calcs'!G4</f>
        <v>11393.524394505148</v>
      </c>
      <c r="H9" s="56">
        <f>Results!$B$22*'BCR Calcs'!H4</f>
        <v>11008.236129956664</v>
      </c>
      <c r="I9" s="56">
        <f>Results!$B$22*'BCR Calcs'!I4</f>
        <v>10635.9769371562</v>
      </c>
      <c r="J9" s="56">
        <f>Results!$B$22*'BCR Calcs'!J4</f>
        <v>10276.306219474591</v>
      </c>
      <c r="K9" s="56">
        <f>Results!$B$22*'BCR Calcs'!K4</f>
        <v>9928.798279685594</v>
      </c>
      <c r="L9" s="57">
        <f>SUM(B9:K9)</f>
        <v>116478.63623131525</v>
      </c>
    </row>
    <row r="10" spans="12:12">
      <c r="L10" s="56">
        <f>SUM(L7:L9)</f>
        <v>46108818.104465768</v>
      </c>
    </row>
    <row r="14" spans="1:11">
      <c r="A14" t="s">
        <v>131</v>
      </c>
      <c r="B14">
        <v>1</v>
      </c>
      <c r="C14">
        <v>2</v>
      </c>
      <c r="D14">
        <v>3</v>
      </c>
      <c r="E14">
        <v>4</v>
      </c>
      <c r="F14">
        <v>5</v>
      </c>
      <c r="G14">
        <v>6</v>
      </c>
      <c r="H14">
        <v>7</v>
      </c>
      <c r="I14">
        <v>8</v>
      </c>
      <c r="J14">
        <v>9</v>
      </c>
      <c r="K14">
        <v>10</v>
      </c>
    </row>
    <row r="15" spans="1:12">
      <c r="A15" t="s">
        <v>125</v>
      </c>
      <c r="B15" s="66">
        <v>10630000</v>
      </c>
      <c r="C15" s="66"/>
      <c r="D15" s="66"/>
      <c r="E15" s="66"/>
      <c r="F15" s="66"/>
      <c r="L15" s="60">
        <f>SUM(B15:K15)</f>
        <v>10630000</v>
      </c>
    </row>
    <row r="16" spans="1:12">
      <c r="A16" t="s">
        <v>132</v>
      </c>
      <c r="G16" s="56">
        <v>50000</v>
      </c>
      <c r="H16" s="56">
        <v>50000</v>
      </c>
      <c r="I16" s="56">
        <v>50000</v>
      </c>
      <c r="J16" s="56">
        <v>50000</v>
      </c>
      <c r="K16" s="56">
        <v>50000</v>
      </c>
      <c r="L16" s="60">
        <f>SUM(B16:K16)</f>
        <v>250000</v>
      </c>
    </row>
    <row r="17" spans="12:12">
      <c r="L17" s="59">
        <f>SUM(L15:L16)</f>
        <v>10880000</v>
      </c>
    </row>
    <row r="21" spans="2:12">
      <c r="B21">
        <f>Results!$B$21*'BCR Calcs'!B4</f>
        <v>234.56288605316976</v>
      </c>
      <c r="C21">
        <f>Results!$B$21*'BCR Calcs'!C4</f>
        <v>226.63080778084034</v>
      </c>
      <c r="D21">
        <f>Results!$B$21*'BCR Calcs'!D4</f>
        <v>218.9669640394593</v>
      </c>
      <c r="E21">
        <f>Results!$B$21*'BCR Calcs'!E4</f>
        <v>211.56228409609596</v>
      </c>
      <c r="F21">
        <f>Results!$B$21*'BCR Calcs'!F4</f>
        <v>204.40800395758066</v>
      </c>
      <c r="G21">
        <f>Results!$B$21*'BCR Calcs'!G4</f>
        <v>197.49565599766248</v>
      </c>
      <c r="H21">
        <f>Results!$B$21*'BCR Calcs'!H4</f>
        <v>190.81705893493958</v>
      </c>
      <c r="I21">
        <f>Results!$B$21*'BCR Calcs'!I4</f>
        <v>184.36430814970012</v>
      </c>
      <c r="J21">
        <f>Results!$B$21*'BCR Calcs'!J4</f>
        <v>178.1297663282127</v>
      </c>
      <c r="K21">
        <f>Results!$B$21*'BCR Calcs'!K4</f>
        <v>172.10605442339391</v>
      </c>
      <c r="L21">
        <f>SUM(B21:K21)</f>
        <v>2019.0437897610548</v>
      </c>
    </row>
  </sheetData>
  <mergeCells count="1">
    <mergeCell ref="B15:F15"/>
  </mergeCells>
  <pageMargins left="0.7" right="0.7" top="0.75" bottom="0.75" header="0.3" footer="0.3"/>
  <headerFooter scaleWithDoc="1" alignWithMargins="0" differentFirst="0" differentOddEven="0"/>
  <legacyDrawing r:id="rId1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F18"/>
  <sheetViews>
    <sheetView zoomScale="80" view="normal" workbookViewId="0">
      <selection pane="topLeft" activeCell="E23" sqref="E23"/>
    </sheetView>
  </sheetViews>
  <sheetFormatPr defaultRowHeight="15"/>
  <cols>
    <col min="1" max="1" width="9.140625" style="3" customWidth="1"/>
    <col min="2" max="2" width="18.5703125" style="3" bestFit="1" customWidth="1"/>
    <col min="3" max="3" width="23.84765625" style="3" bestFit="1" customWidth="1"/>
    <col min="4" max="4" width="6" style="3" bestFit="1" customWidth="1"/>
    <col min="5" max="5" width="41.27734375" style="3" bestFit="1" customWidth="1"/>
    <col min="6" max="16384" width="9.140625" style="3" customWidth="1"/>
  </cols>
  <sheetData>
    <row r="2" spans="2:2">
      <c r="B2" s="3" t="s">
        <v>105</v>
      </c>
    </row>
    <row r="3" spans="2:2">
      <c r="B3" s="3" t="s">
        <v>106</v>
      </c>
    </row>
    <row r="4" spans="2:2">
      <c r="B4" s="3" t="s">
        <v>107</v>
      </c>
    </row>
    <row r="6" spans="2:6">
      <c r="B6" s="3" t="s">
        <v>28</v>
      </c>
      <c r="C6" s="3" t="s">
        <v>4</v>
      </c>
      <c r="D6" s="4" t="s">
        <v>6</v>
      </c>
      <c r="E6" s="4"/>
      <c r="F6" s="49" t="s">
        <v>112</v>
      </c>
    </row>
    <row r="8" spans="2:5">
      <c r="B8" s="3" t="s">
        <v>0</v>
      </c>
      <c r="C8" s="5">
        <v>16600000</v>
      </c>
      <c r="D8" s="1">
        <v>0.3</v>
      </c>
      <c r="E8" s="3" t="s">
        <v>19</v>
      </c>
    </row>
    <row r="9" spans="2:5">
      <c r="B9" s="3" t="s">
        <v>1</v>
      </c>
      <c r="C9" s="5">
        <v>27400000</v>
      </c>
      <c r="D9" s="1">
        <v>0.3</v>
      </c>
      <c r="E9" s="3" t="s">
        <v>19</v>
      </c>
    </row>
    <row r="10" spans="2:5">
      <c r="B10" s="3" t="s">
        <v>2</v>
      </c>
      <c r="C10" s="5">
        <v>48200000</v>
      </c>
      <c r="D10" s="1">
        <v>0.02</v>
      </c>
      <c r="E10" s="3" t="s">
        <v>19</v>
      </c>
    </row>
    <row r="11" spans="2:5">
      <c r="B11" s="3" t="s">
        <v>3</v>
      </c>
      <c r="C11" s="5">
        <v>32900000</v>
      </c>
      <c r="D11" s="1">
        <v>0.2</v>
      </c>
      <c r="E11" s="3" t="s">
        <v>19</v>
      </c>
    </row>
    <row r="12" spans="3:3">
      <c r="C12" s="6"/>
    </row>
    <row r="13" spans="4:5">
      <c r="D13" s="1">
        <v>0.25</v>
      </c>
      <c r="E13" s="3" t="s">
        <v>52</v>
      </c>
    </row>
    <row r="15" spans="4:5">
      <c r="D15" s="2">
        <v>1.75</v>
      </c>
      <c r="E15" s="3" t="s">
        <v>56</v>
      </c>
    </row>
    <row r="17" spans="4:5">
      <c r="D17" s="1">
        <v>0.1</v>
      </c>
      <c r="E17" t="s">
        <v>55</v>
      </c>
    </row>
    <row r="18" spans="4:5">
      <c r="D18" s="1">
        <v>0.03</v>
      </c>
      <c r="E18" s="3" t="s">
        <v>58</v>
      </c>
    </row>
  </sheetData>
  <mergeCells count="1">
    <mergeCell ref="D6:E6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J19"/>
  <sheetViews>
    <sheetView zoomScale="80" view="normal" workbookViewId="0">
      <selection pane="topLeft" activeCell="J10" sqref="J10"/>
    </sheetView>
  </sheetViews>
  <sheetFormatPr defaultRowHeight="15"/>
  <cols>
    <col min="1" max="1" width="16.140625" style="3" bestFit="1" customWidth="1"/>
    <col min="2" max="2" width="24.5703125" style="3" bestFit="1" customWidth="1"/>
    <col min="3" max="3" width="14.84765625" style="3" customWidth="1"/>
    <col min="4" max="4" width="18.140625" style="3" bestFit="1" customWidth="1"/>
    <col min="5" max="5" width="20" style="3" bestFit="1" customWidth="1"/>
    <col min="6" max="6" width="8.27734375" style="3" bestFit="1" customWidth="1"/>
    <col min="7" max="7" width="9.84765625" style="3" bestFit="1" customWidth="1"/>
    <col min="8" max="8" width="13.27734375" style="3" bestFit="1" customWidth="1"/>
    <col min="9" max="9" width="9.84765625" style="3" bestFit="1" customWidth="1"/>
    <col min="10" max="10" width="32.7109375" style="3" bestFit="1" customWidth="1"/>
    <col min="11" max="16384" width="9.140625" style="3" customWidth="1"/>
  </cols>
  <sheetData>
    <row r="2" spans="2:9">
      <c r="B2" s="3" t="s">
        <v>4</v>
      </c>
      <c r="D2" s="4" t="s">
        <v>108</v>
      </c>
      <c r="E2" s="4"/>
      <c r="F2" s="4"/>
      <c r="G2" s="4"/>
      <c r="H2" s="4"/>
      <c r="I2" s="4"/>
    </row>
    <row r="3" spans="4:10">
      <c r="D3" s="4" t="s">
        <v>7</v>
      </c>
      <c r="E3" s="4" t="s">
        <v>8</v>
      </c>
      <c r="F3" s="4" t="s">
        <v>13</v>
      </c>
      <c r="G3" s="4" t="s">
        <v>10</v>
      </c>
      <c r="H3" s="4" t="s">
        <v>11</v>
      </c>
      <c r="I3" s="4" t="s">
        <v>9</v>
      </c>
      <c r="J3" s="4"/>
    </row>
    <row r="4" spans="3:10">
      <c r="C4" s="3" t="s">
        <v>134</v>
      </c>
      <c r="D4" s="19">
        <v>0.28</v>
      </c>
      <c r="E4" s="20">
        <v>0.015</v>
      </c>
      <c r="F4" s="20">
        <v>0.028</v>
      </c>
      <c r="G4" s="19">
        <v>0.06</v>
      </c>
      <c r="H4" s="19">
        <v>0.05</v>
      </c>
      <c r="I4" s="19">
        <v>0.01</v>
      </c>
      <c r="J4" s="4"/>
    </row>
    <row r="5" spans="1:10">
      <c r="A5" s="3" t="s">
        <v>0</v>
      </c>
      <c r="B5" s="5">
        <v>16600000</v>
      </c>
      <c r="C5" s="21">
        <f>'Task and Assumptions'!C8*'Task and Assumptions'!D8</f>
        <v>4980000</v>
      </c>
      <c r="D5" s="5">
        <f>C5*0.28</f>
        <v>1394400.0000000002</v>
      </c>
      <c r="E5" s="5">
        <f>C5*0.015</f>
        <v>74700</v>
      </c>
      <c r="F5" s="5">
        <f>C5*0.028</f>
        <v>139440</v>
      </c>
      <c r="G5" s="5">
        <f>C5*0.06</f>
        <v>298800</v>
      </c>
      <c r="H5" s="5">
        <f>C5*0.05</f>
        <v>249000</v>
      </c>
      <c r="I5" s="5">
        <f>C5*0.1</f>
        <v>498000</v>
      </c>
      <c r="J5" s="4"/>
    </row>
    <row r="6" spans="1:10">
      <c r="A6" s="3" t="s">
        <v>1</v>
      </c>
      <c r="B6" s="5">
        <v>27400000</v>
      </c>
      <c r="C6" s="21">
        <f>'Task and Assumptions'!C9*'Task and Assumptions'!D9</f>
        <v>8220000</v>
      </c>
      <c r="D6" s="5">
        <f>C6*0.28</f>
        <v>2301600</v>
      </c>
      <c r="E6" s="5">
        <f>C6*0.015</f>
        <v>123300</v>
      </c>
      <c r="F6" s="5">
        <f>C6*0.028</f>
        <v>230160</v>
      </c>
      <c r="G6" s="5">
        <f>C6*0.06</f>
        <v>493200</v>
      </c>
      <c r="H6" s="5">
        <f>C6*0.05</f>
        <v>411000</v>
      </c>
      <c r="I6" s="5">
        <f>C6*0.1</f>
        <v>822000</v>
      </c>
      <c r="J6" s="4"/>
    </row>
    <row r="7" spans="1:10">
      <c r="A7" s="3" t="s">
        <v>2</v>
      </c>
      <c r="B7" s="5">
        <v>48200000</v>
      </c>
      <c r="C7" s="21">
        <f>'Task and Assumptions'!C10*'Task and Assumptions'!D10</f>
        <v>964000</v>
      </c>
      <c r="D7" s="5">
        <f>C7*0.28</f>
        <v>269920</v>
      </c>
      <c r="E7" s="5">
        <f>C7*0.015</f>
        <v>14460</v>
      </c>
      <c r="F7" s="5">
        <f>C7*0.028</f>
        <v>26992</v>
      </c>
      <c r="G7" s="5">
        <f>C7*0.06</f>
        <v>57840</v>
      </c>
      <c r="H7" s="5">
        <f>C7*0.05</f>
        <v>48200</v>
      </c>
      <c r="I7" s="5">
        <f>C7*0.1</f>
        <v>96400</v>
      </c>
      <c r="J7" s="4"/>
    </row>
    <row r="8" spans="1:10">
      <c r="A8" s="3" t="s">
        <v>3</v>
      </c>
      <c r="B8" s="5">
        <v>32900000</v>
      </c>
      <c r="C8" s="21">
        <f>'Task and Assumptions'!C11*'Task and Assumptions'!D11</f>
        <v>6580000</v>
      </c>
      <c r="D8" s="5">
        <f>C8*0.28</f>
        <v>1842400.0000000002</v>
      </c>
      <c r="E8" s="5">
        <f>C8*0.015</f>
        <v>98700</v>
      </c>
      <c r="F8" s="5">
        <f>C8*0.028</f>
        <v>184240</v>
      </c>
      <c r="G8" s="5">
        <f>C8*0.06</f>
        <v>394800</v>
      </c>
      <c r="H8" s="5">
        <f>C8*0.05</f>
        <v>329000</v>
      </c>
      <c r="I8" s="5">
        <f>C8*0.1</f>
        <v>658000</v>
      </c>
      <c r="J8" s="22" t="s">
        <v>14</v>
      </c>
    </row>
    <row r="9" spans="2:10">
      <c r="B9" s="6">
        <f>SUM(B5:B8)</f>
        <v>125100000</v>
      </c>
      <c r="C9" s="23">
        <f>SUM(C5:C8)</f>
        <v>20744000</v>
      </c>
      <c r="D9" s="6">
        <f>SUM(D5:D8)</f>
        <v>5808320</v>
      </c>
      <c r="E9" s="6">
        <f>SUM(E5:E8)</f>
        <v>311160</v>
      </c>
      <c r="F9" s="6">
        <f>SUM(F5:F8)</f>
        <v>580832</v>
      </c>
      <c r="G9" s="6">
        <f>SUM(G5:G8)</f>
        <v>1244640</v>
      </c>
      <c r="H9" s="6">
        <f>SUM(H5:H8)</f>
        <v>1037200</v>
      </c>
      <c r="I9" s="6">
        <f>SUM(I5:I8)</f>
        <v>2074400</v>
      </c>
      <c r="J9" s="24">
        <f>AVERAGE(E9:I9)</f>
        <v>1049646.4</v>
      </c>
    </row>
    <row r="11" spans="3:3">
      <c r="C11" s="25" t="s">
        <v>12</v>
      </c>
    </row>
    <row r="15" spans="2:3">
      <c r="B15" s="26">
        <f>'Task and Assumptions'!D15</f>
        <v>1.75</v>
      </c>
      <c r="C15" s="3" t="s">
        <v>47</v>
      </c>
    </row>
    <row r="16" spans="2:6">
      <c r="B16" s="27">
        <v>0.194</v>
      </c>
      <c r="C16" s="3" t="s">
        <v>49</v>
      </c>
      <c r="F16" s="25" t="s">
        <v>50</v>
      </c>
    </row>
    <row r="18" spans="2:3">
      <c r="B18" s="26">
        <f>B15*(J9*(1-B16))</f>
        <v>1480526.2471999999</v>
      </c>
      <c r="C18" s="3" t="s">
        <v>51</v>
      </c>
    </row>
    <row r="19" spans="3:3">
      <c r="C19" s="3" t="s">
        <v>113</v>
      </c>
    </row>
  </sheetData>
  <mergeCells count="1">
    <mergeCell ref="D2:I2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2:M21"/>
  <sheetViews>
    <sheetView zoomScale="80" view="normal" workbookViewId="0">
      <selection pane="topLeft" activeCell="A21" sqref="A21"/>
    </sheetView>
  </sheetViews>
  <sheetFormatPr defaultRowHeight="15"/>
  <cols>
    <col min="1" max="1" width="16.7109375" style="46" customWidth="1"/>
    <col min="2" max="16384" width="9.140625" style="3" customWidth="1"/>
  </cols>
  <sheetData>
    <row r="2" spans="1:1">
      <c r="A2" s="43" t="s">
        <v>5</v>
      </c>
    </row>
    <row r="3" spans="1:2">
      <c r="A3" s="44">
        <f>'Task and Assumptions'!D13</f>
        <v>0.25</v>
      </c>
      <c r="B3" s="3" t="s">
        <v>15</v>
      </c>
    </row>
    <row r="5" spans="1:2">
      <c r="A5" s="45">
        <f>'Bus Patronage &amp; Revenue'!J9</f>
        <v>1049646.4</v>
      </c>
      <c r="B5" s="3" t="s">
        <v>16</v>
      </c>
    </row>
    <row r="7" spans="1:7">
      <c r="A7" s="46">
        <v>3.507</v>
      </c>
      <c r="B7" s="3" t="s">
        <v>20</v>
      </c>
      <c r="G7" s="30" t="s">
        <v>22</v>
      </c>
    </row>
    <row r="8" spans="7:7">
      <c r="G8" s="30"/>
    </row>
    <row r="9" spans="1:7">
      <c r="A9" s="46">
        <v>1.63</v>
      </c>
      <c r="B9" s="3" t="s">
        <v>123</v>
      </c>
      <c r="G9" s="30" t="s">
        <v>115</v>
      </c>
    </row>
    <row r="11" spans="1:2">
      <c r="A11" s="45">
        <f>(A5*A3)/A9</f>
        <v>160988.71165644171</v>
      </c>
      <c r="B11" s="3" t="s">
        <v>17</v>
      </c>
    </row>
    <row r="13" spans="1:2">
      <c r="A13" s="45">
        <f>A11*A7</f>
        <v>564587.411779141</v>
      </c>
      <c r="B13" s="3" t="s">
        <v>21</v>
      </c>
    </row>
    <row r="15" spans="1:7">
      <c r="A15" s="45">
        <v>31090000000</v>
      </c>
      <c r="B15" s="3" t="s">
        <v>100</v>
      </c>
      <c r="G15" s="30" t="s">
        <v>59</v>
      </c>
    </row>
    <row r="16" spans="1:13">
      <c r="A16" s="45">
        <v>2100000</v>
      </c>
      <c r="B16" s="3" t="s">
        <v>60</v>
      </c>
      <c r="G16" s="31" t="s">
        <v>62</v>
      </c>
      <c r="H16" s="30"/>
      <c r="I16" s="30"/>
      <c r="J16" s="30"/>
      <c r="K16" s="30"/>
      <c r="L16" s="30"/>
      <c r="M16" s="30"/>
    </row>
    <row r="17" spans="1:7">
      <c r="A17" s="45">
        <v>64100000</v>
      </c>
      <c r="B17" s="3" t="s">
        <v>61</v>
      </c>
      <c r="G17" s="31" t="s">
        <v>63</v>
      </c>
    </row>
    <row r="18" spans="1:2">
      <c r="A18" s="47">
        <f>A16/A17</f>
        <v>0.0327613104524181</v>
      </c>
      <c r="B18" s="3" t="s">
        <v>64</v>
      </c>
    </row>
    <row r="19" spans="1:2">
      <c r="A19" s="45">
        <f>A15*A18</f>
        <v>1018549141.9656787</v>
      </c>
      <c r="B19" s="3" t="s">
        <v>65</v>
      </c>
    </row>
    <row r="21" spans="1:2">
      <c r="A21" s="47">
        <f>A13/A19</f>
        <v>0.000554305519996369</v>
      </c>
      <c r="B21" s="3" t="s">
        <v>66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6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C6"/>
  <sheetViews>
    <sheetView zoomScale="80" view="normal" workbookViewId="0">
      <selection pane="topLeft" activeCell="C6" sqref="C6"/>
    </sheetView>
  </sheetViews>
  <sheetFormatPr defaultRowHeight="15"/>
  <cols>
    <col min="1" max="1" width="9.140625" style="3" customWidth="1"/>
    <col min="2" max="2" width="13.41796875" style="3" bestFit="1" customWidth="1"/>
    <col min="3" max="3" width="26" style="3" bestFit="1" customWidth="1"/>
    <col min="4" max="16384" width="9.140625" style="3" customWidth="1"/>
  </cols>
  <sheetData>
    <row r="1" spans="3:3">
      <c r="C1" s="3" t="s">
        <v>118</v>
      </c>
    </row>
    <row r="2" spans="2:3">
      <c r="B2" s="3" t="s">
        <v>117</v>
      </c>
      <c r="C2" s="52">
        <f>16.7973/100</f>
        <v>0.167973</v>
      </c>
    </row>
    <row r="4" spans="2:3">
      <c r="B4" s="3" t="s">
        <v>119</v>
      </c>
      <c r="C4" s="3">
        <f>'Vehicle Miles'!A13*1.609</f>
        <v>908421.145552638</v>
      </c>
    </row>
    <row r="6" spans="3:3">
      <c r="C6" s="39">
        <f>C4*C2</f>
        <v>152590.22508191326</v>
      </c>
    </row>
  </sheetData>
  <pageMargins left="0.7" right="0.7" top="0.75" bottom="0.75" header="0.3" footer="0.3"/>
  <headerFooter scaleWithDoc="1" alignWithMargins="0" differentFirst="0" differentOddEven="0"/>
  <extLst/>
</worksheet>
</file>

<file path=xl/worksheets/sheet7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3:D19"/>
  <sheetViews>
    <sheetView zoomScale="80" view="normal" workbookViewId="0">
      <selection pane="topLeft" activeCell="A19" sqref="A19"/>
    </sheetView>
  </sheetViews>
  <sheetFormatPr defaultRowHeight="15"/>
  <cols>
    <col min="1" max="1" width="12" style="3" bestFit="1" customWidth="1"/>
    <col min="2" max="2" width="27.84765625" style="3" bestFit="1" customWidth="1"/>
    <col min="3" max="16384" width="9.140625" style="3" customWidth="1"/>
  </cols>
  <sheetData>
    <row r="3" spans="1:4">
      <c r="A3" s="3">
        <v>430</v>
      </c>
      <c r="B3" s="3" t="s">
        <v>24</v>
      </c>
      <c r="D3" s="35" t="s">
        <v>25</v>
      </c>
    </row>
    <row r="5" spans="1:2">
      <c r="A5" s="3">
        <v>2.8</v>
      </c>
      <c r="B5" s="3" t="s">
        <v>29</v>
      </c>
    </row>
    <row r="6" spans="1:2">
      <c r="A6" s="3">
        <v>20.9</v>
      </c>
      <c r="B6" s="3" t="s">
        <v>30</v>
      </c>
    </row>
    <row r="7" spans="1:2">
      <c r="A7" s="3">
        <v>1.39</v>
      </c>
      <c r="B7" s="3" t="s">
        <v>31</v>
      </c>
    </row>
    <row r="12" spans="1:2">
      <c r="A12" s="21">
        <f>Results!B17</f>
        <v>564587.411779141</v>
      </c>
      <c r="B12" s="3" t="s">
        <v>26</v>
      </c>
    </row>
    <row r="14" spans="1:2">
      <c r="A14" s="32">
        <f>(A12*A3)/1000</f>
        <v>242772.58706503068</v>
      </c>
      <c r="B14" s="3" t="s">
        <v>27</v>
      </c>
    </row>
    <row r="15" spans="1:2">
      <c r="A15" s="32">
        <f>($A$12*A5)/1000</f>
        <v>1580.8447529815949</v>
      </c>
      <c r="B15" s="3" t="s">
        <v>32</v>
      </c>
    </row>
    <row r="16" spans="1:2">
      <c r="A16" s="32">
        <f>($A$12*A6)/1000</f>
        <v>11799.876906184047</v>
      </c>
      <c r="B16" s="3" t="s">
        <v>33</v>
      </c>
    </row>
    <row r="17" spans="1:2">
      <c r="A17" s="32">
        <f>($A$12*A7)/1000</f>
        <v>784.776502373006</v>
      </c>
      <c r="B17" s="3" t="s">
        <v>34</v>
      </c>
    </row>
    <row r="19" spans="1:4">
      <c r="A19" s="26">
        <v>57.69</v>
      </c>
      <c r="B19" s="3" t="s">
        <v>116</v>
      </c>
      <c r="D19" s="35" t="s">
        <v>114</v>
      </c>
    </row>
  </sheetData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8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D21"/>
  <sheetViews>
    <sheetView zoomScale="80" view="normal" workbookViewId="0">
      <selection pane="topLeft" activeCell="B7" sqref="B7"/>
    </sheetView>
  </sheetViews>
  <sheetFormatPr defaultRowHeight="15"/>
  <cols>
    <col min="1" max="1" width="18.7109375" style="3" bestFit="1" customWidth="1"/>
    <col min="2" max="2" width="67.140625" style="3" bestFit="1" customWidth="1"/>
    <col min="3" max="16384" width="9.140625" style="3" customWidth="1"/>
  </cols>
  <sheetData>
    <row r="1" spans="1:1">
      <c r="A1" s="3" t="s">
        <v>35</v>
      </c>
    </row>
    <row r="3" spans="1:3">
      <c r="A3" s="3">
        <v>1.5</v>
      </c>
      <c r="B3" s="3" t="s">
        <v>101</v>
      </c>
      <c r="C3" s="33" t="s">
        <v>104</v>
      </c>
    </row>
    <row r="4" spans="1:3">
      <c r="A4" s="3">
        <v>3.3</v>
      </c>
      <c r="B4" s="3" t="s">
        <v>102</v>
      </c>
      <c r="C4" s="33" t="s">
        <v>103</v>
      </c>
    </row>
    <row r="5" spans="1:4">
      <c r="A5" s="28">
        <f>AVERAGE(A3:A4)</f>
        <v>2.4</v>
      </c>
      <c r="B5" s="28" t="s">
        <v>48</v>
      </c>
      <c r="D5" s="33"/>
    </row>
    <row r="6" spans="4:4">
      <c r="D6" s="33"/>
    </row>
    <row r="7" spans="1:2">
      <c r="A7" s="21">
        <f>(('Task and Assumptions'!C8*'Task and Assumptions'!D8)+('Task and Assumptions'!C9*'Task and Assumptions'!D9)+('Task and Assumptions'!C10*'Task and Assumptions'!D10)+('Task and Assumptions'!C11*'Task and Assumptions'!D11))</f>
        <v>20744000</v>
      </c>
      <c r="B7" s="3" t="s">
        <v>36</v>
      </c>
    </row>
    <row r="9" spans="1:2">
      <c r="A9" s="21">
        <f>A7*A5</f>
        <v>49785600</v>
      </c>
      <c r="B9" s="3" t="s">
        <v>37</v>
      </c>
    </row>
    <row r="10" spans="1:2">
      <c r="A10" s="21">
        <f>A9/60</f>
        <v>829760</v>
      </c>
      <c r="B10" s="3" t="s">
        <v>38</v>
      </c>
    </row>
    <row r="11" spans="1:1">
      <c r="A11" s="21"/>
    </row>
    <row r="12" spans="1:2">
      <c r="A12" s="29">
        <v>0.03</v>
      </c>
      <c r="B12" s="3" t="s">
        <v>40</v>
      </c>
    </row>
    <row r="13" spans="1:3">
      <c r="A13" s="29">
        <v>0.16</v>
      </c>
      <c r="B13" s="3" t="s">
        <v>41</v>
      </c>
      <c r="C13" s="33" t="s">
        <v>46</v>
      </c>
    </row>
    <row r="14" spans="1:2">
      <c r="A14" s="29">
        <v>0.81</v>
      </c>
      <c r="B14" s="3" t="s">
        <v>42</v>
      </c>
    </row>
    <row r="16" spans="1:2">
      <c r="A16" s="26">
        <v>16.63</v>
      </c>
      <c r="B16" s="3" t="s">
        <v>43</v>
      </c>
    </row>
    <row r="17" spans="1:2">
      <c r="A17" s="26">
        <v>6.81</v>
      </c>
      <c r="B17" s="3" t="s">
        <v>44</v>
      </c>
    </row>
    <row r="18" spans="1:2">
      <c r="A18" s="26">
        <v>6.04</v>
      </c>
      <c r="B18" s="3" t="s">
        <v>45</v>
      </c>
    </row>
    <row r="19" spans="1:2">
      <c r="A19" s="26"/>
      <c r="B19" s="33" t="s">
        <v>39</v>
      </c>
    </row>
    <row r="20" spans="1:1">
      <c r="A20" s="26"/>
    </row>
    <row r="21" spans="1:1">
      <c r="A21" s="34">
        <f>((A10*A12)*A16)+((A10*A13)*A17)+((A10*A14)*A18)</f>
        <v>5377591.5840000007</v>
      </c>
    </row>
  </sheetData>
  <hyperlinks>
    <hyperlink ref="C3" r:id="rId1" display="Source: http://www.citylab.com/commute/2014/08/3-big-time-benefits-of-real-time-transit-data/376094/"/>
    <hyperlink ref="C4" r:id="rId2" display="Source: http://www.irishplanninginstitute.ie/sites/default/files/thesis_bryan_sweeney.pdf"/>
  </hyperlinks>
  <pageMargins left="0.7" right="0.7" top="0.75" bottom="0.75" header="0.3" footer="0.3"/>
  <headerFooter scaleWithDoc="1" alignWithMargins="0" differentFirst="0" differentOddEven="0"/>
  <extLst/>
</worksheet>
</file>

<file path=xl/worksheets/sheet9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K29"/>
  <sheetViews>
    <sheetView zoomScale="80" view="normal" workbookViewId="0">
      <selection pane="topLeft" activeCell="B6" sqref="B6"/>
    </sheetView>
  </sheetViews>
  <sheetFormatPr defaultRowHeight="15"/>
  <cols>
    <col min="1" max="1" width="15.140625" style="3" bestFit="1" customWidth="1"/>
    <col min="2" max="2" width="33.140625" style="3" bestFit="1" customWidth="1"/>
    <col min="3" max="6" width="9.140625" style="3" customWidth="1"/>
    <col min="7" max="7" width="3.140625" style="3" customWidth="1"/>
    <col min="8" max="8" width="15.84765625" style="3" customWidth="1"/>
    <col min="9" max="10" width="11.27734375" style="3" bestFit="1" customWidth="1"/>
    <col min="11" max="16384" width="9.140625" style="3" customWidth="1"/>
  </cols>
  <sheetData>
    <row r="1" spans="1:3">
      <c r="A1" s="21">
        <v>70588</v>
      </c>
      <c r="B1" s="3" t="s">
        <v>53</v>
      </c>
      <c r="C1" s="35" t="s">
        <v>54</v>
      </c>
    </row>
    <row r="3" spans="1:2">
      <c r="A3" s="29">
        <f>'Task and Assumptions'!D17</f>
        <v>0.1</v>
      </c>
      <c r="B3" s="3" t="s">
        <v>55</v>
      </c>
    </row>
    <row r="4" spans="1:2">
      <c r="A4" s="29">
        <f>'Task and Assumptions'!D18</f>
        <v>0.03</v>
      </c>
      <c r="B4" s="3" t="s">
        <v>57</v>
      </c>
    </row>
    <row r="6" spans="1:2">
      <c r="A6" s="32">
        <f>(A1*A3)*A4</f>
        <v>211.764</v>
      </c>
      <c r="B6" s="3" t="s">
        <v>136</v>
      </c>
    </row>
    <row r="8" spans="1:2">
      <c r="A8" s="3">
        <v>860</v>
      </c>
      <c r="B8" s="3" t="s">
        <v>71</v>
      </c>
    </row>
    <row r="10" spans="1:3">
      <c r="A10" s="27">
        <v>0.735</v>
      </c>
      <c r="B10" s="3" t="s">
        <v>72</v>
      </c>
      <c r="C10" s="35" t="s">
        <v>76</v>
      </c>
    </row>
    <row r="11" spans="1:2">
      <c r="A11" s="27">
        <v>0.265</v>
      </c>
      <c r="B11" s="3" t="s">
        <v>73</v>
      </c>
    </row>
    <row r="12" spans="7:11">
      <c r="G12" s="36"/>
      <c r="H12" s="37"/>
      <c r="I12" s="36" t="s">
        <v>95</v>
      </c>
      <c r="J12" s="36"/>
      <c r="K12" s="35" t="s">
        <v>96</v>
      </c>
    </row>
    <row r="13" spans="1:10">
      <c r="A13" s="32">
        <f>A6*A10</f>
        <v>155.64654000000002</v>
      </c>
      <c r="B13" s="3" t="s">
        <v>74</v>
      </c>
      <c r="G13" s="36"/>
      <c r="H13" s="37" t="s">
        <v>77</v>
      </c>
      <c r="I13" s="37" t="s">
        <v>78</v>
      </c>
      <c r="J13" s="37" t="s">
        <v>79</v>
      </c>
    </row>
    <row r="14" spans="1:10">
      <c r="A14" s="32">
        <f>A11*A6</f>
        <v>56.117460000000008</v>
      </c>
      <c r="B14" s="3" t="s">
        <v>75</v>
      </c>
      <c r="G14" s="36">
        <v>1</v>
      </c>
      <c r="H14" s="37" t="s">
        <v>80</v>
      </c>
      <c r="I14" s="38">
        <v>499</v>
      </c>
      <c r="J14" s="38">
        <v>156</v>
      </c>
    </row>
    <row r="15" spans="7:10">
      <c r="G15" s="36">
        <v>2</v>
      </c>
      <c r="H15" s="37" t="s">
        <v>81</v>
      </c>
      <c r="I15" s="38">
        <v>476</v>
      </c>
      <c r="J15" s="38">
        <v>134</v>
      </c>
    </row>
    <row r="16" spans="1:10">
      <c r="A16" s="39">
        <f>A13*I29*52</f>
        <v>3986107.8894000007</v>
      </c>
      <c r="B16" s="3" t="s">
        <v>97</v>
      </c>
      <c r="G16" s="36">
        <v>3</v>
      </c>
      <c r="H16" s="37" t="s">
        <v>82</v>
      </c>
      <c r="I16" s="38">
        <v>442</v>
      </c>
      <c r="J16" s="38"/>
    </row>
    <row r="17" spans="1:10">
      <c r="A17" s="39">
        <f>A14*J29*52</f>
        <v>422500.33956000005</v>
      </c>
      <c r="B17" s="3" t="s">
        <v>98</v>
      </c>
      <c r="G17" s="36">
        <v>4</v>
      </c>
      <c r="H17" s="37" t="s">
        <v>83</v>
      </c>
      <c r="I17" s="38">
        <v>427</v>
      </c>
      <c r="J17" s="38">
        <v>182</v>
      </c>
    </row>
    <row r="18" spans="1:10">
      <c r="A18" s="40">
        <f>SUM(A16:A17)</f>
        <v>4408608.2289600009</v>
      </c>
      <c r="G18" s="36">
        <v>5</v>
      </c>
      <c r="H18" s="37" t="s">
        <v>84</v>
      </c>
      <c r="I18" s="38">
        <v>420</v>
      </c>
      <c r="J18" s="38">
        <v>155</v>
      </c>
    </row>
    <row r="19" spans="7:10">
      <c r="G19" s="36">
        <v>6</v>
      </c>
      <c r="H19" s="37" t="s">
        <v>85</v>
      </c>
      <c r="I19" s="38">
        <v>389</v>
      </c>
      <c r="J19" s="38">
        <v>150</v>
      </c>
    </row>
    <row r="20" spans="7:10">
      <c r="G20" s="36">
        <v>7</v>
      </c>
      <c r="H20" s="37" t="s">
        <v>86</v>
      </c>
      <c r="I20" s="38">
        <v>442</v>
      </c>
      <c r="J20" s="38">
        <v>151</v>
      </c>
    </row>
    <row r="21" spans="7:10">
      <c r="G21" s="36">
        <v>8</v>
      </c>
      <c r="H21" s="37" t="s">
        <v>87</v>
      </c>
      <c r="I21" s="38">
        <v>471</v>
      </c>
      <c r="J21" s="38">
        <v>166</v>
      </c>
    </row>
    <row r="22" spans="7:10">
      <c r="G22" s="36">
        <v>9</v>
      </c>
      <c r="H22" s="37" t="s">
        <v>88</v>
      </c>
      <c r="I22" s="38">
        <v>513</v>
      </c>
      <c r="J22" s="38">
        <v>149</v>
      </c>
    </row>
    <row r="23" spans="7:10">
      <c r="G23" s="36">
        <v>10</v>
      </c>
      <c r="H23" s="37" t="s">
        <v>89</v>
      </c>
      <c r="I23" s="38">
        <v>826</v>
      </c>
      <c r="J23" s="38">
        <v>157</v>
      </c>
    </row>
    <row r="24" spans="7:10">
      <c r="G24" s="36">
        <v>11</v>
      </c>
      <c r="H24" s="37" t="s">
        <v>90</v>
      </c>
      <c r="I24" s="38">
        <v>453</v>
      </c>
      <c r="J24" s="38">
        <v>146</v>
      </c>
    </row>
    <row r="25" spans="7:10">
      <c r="G25" s="36">
        <v>12</v>
      </c>
      <c r="H25" s="37" t="s">
        <v>91</v>
      </c>
      <c r="I25" s="38">
        <v>395</v>
      </c>
      <c r="J25" s="38">
        <v>153</v>
      </c>
    </row>
    <row r="26" spans="7:10">
      <c r="G26" s="36">
        <v>13</v>
      </c>
      <c r="H26" s="37" t="s">
        <v>92</v>
      </c>
      <c r="I26" s="38">
        <v>479</v>
      </c>
      <c r="J26" s="38">
        <v>167</v>
      </c>
    </row>
    <row r="27" spans="7:10">
      <c r="G27" s="36">
        <v>14</v>
      </c>
      <c r="H27" s="37" t="s">
        <v>93</v>
      </c>
      <c r="I27" s="38">
        <v>663</v>
      </c>
      <c r="J27" s="38">
        <v>161</v>
      </c>
    </row>
    <row r="28" spans="7:10">
      <c r="G28" s="37"/>
      <c r="H28" s="37"/>
      <c r="I28" s="38">
        <f>SUM(I14:I27)</f>
        <v>6895</v>
      </c>
      <c r="J28" s="38">
        <f>SUM(J14:J27)</f>
        <v>2027</v>
      </c>
    </row>
    <row r="29" spans="7:10">
      <c r="G29" s="37"/>
      <c r="H29" s="41" t="s">
        <v>94</v>
      </c>
      <c r="I29" s="42">
        <f>I28/G27</f>
        <v>492.5</v>
      </c>
      <c r="J29" s="42">
        <f>J28/G27</f>
        <v>144.78571428571428</v>
      </c>
    </row>
  </sheetData>
  <mergeCells count="1">
    <mergeCell ref="I12:J12"/>
  </mergeCells>
  <pageMargins left="0.7" right="0.7" top="0.75" bottom="0.75" header="0.3" footer="0.3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14.0300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Nic Greaves</dc:creator>
  <cp:keywords/>
  <cp:lastModifiedBy>Deleted User</cp:lastModifiedBy>
  <dcterms:created xsi:type="dcterms:W3CDTF">2016-01-26T16:50:41Z</dcterms:created>
  <dcterms:modified xsi:type="dcterms:W3CDTF">2017-07-21T14:31:00Z</dcterms:modified>
  <dc:subject/>
  <dc:title>Appendix 3 - supplementary information D2N2 real time information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